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74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07" i="1" l="1"/>
  <c r="J105" i="1"/>
  <c r="L101" i="1"/>
  <c r="K101" i="1"/>
  <c r="J108" i="1"/>
  <c r="H89" i="1"/>
  <c r="H87" i="1"/>
  <c r="H86" i="1"/>
  <c r="I79" i="1"/>
  <c r="I78" i="1"/>
  <c r="I77" i="1"/>
  <c r="I76" i="1"/>
  <c r="I75" i="1"/>
  <c r="I74" i="1"/>
  <c r="G57" i="1"/>
  <c r="G56" i="1"/>
  <c r="G55" i="1"/>
  <c r="K35" i="1"/>
  <c r="K45" i="1" s="1"/>
  <c r="J104" i="1"/>
  <c r="J107" i="1"/>
  <c r="N103" i="1"/>
  <c r="J101" i="1"/>
  <c r="J102" i="1" s="1"/>
  <c r="H94" i="1"/>
  <c r="H95" i="1" s="1"/>
  <c r="J100" i="1"/>
  <c r="J99" i="1"/>
  <c r="J98" i="1"/>
  <c r="H97" i="1"/>
  <c r="H96" i="1"/>
  <c r="H93" i="1"/>
  <c r="H92" i="1"/>
  <c r="H91" i="1"/>
  <c r="H85" i="1"/>
  <c r="J60" i="1"/>
  <c r="I61" i="1"/>
  <c r="J61" i="1" s="1"/>
  <c r="I60" i="1"/>
  <c r="I52" i="1"/>
  <c r="L52" i="1"/>
  <c r="K39" i="1"/>
  <c r="K38" i="1"/>
  <c r="K33" i="1"/>
  <c r="K27" i="1"/>
  <c r="K24" i="1"/>
  <c r="H8" i="1"/>
  <c r="K79" i="1"/>
  <c r="K76" i="1"/>
  <c r="H62" i="1"/>
  <c r="G62" i="1"/>
  <c r="G61" i="1"/>
  <c r="G54" i="1"/>
  <c r="G53" i="1"/>
  <c r="K52" i="1"/>
  <c r="K46" i="1"/>
  <c r="K44" i="1"/>
  <c r="K43" i="1"/>
  <c r="M34" i="1"/>
  <c r="H15" i="1"/>
  <c r="H13" i="1"/>
  <c r="H9" i="1"/>
  <c r="K26" i="1"/>
  <c r="H25" i="1"/>
  <c r="K23" i="1"/>
  <c r="H22" i="1"/>
  <c r="I56" i="1" l="1"/>
  <c r="K56" i="1"/>
  <c r="L56" i="1" s="1"/>
  <c r="K47" i="1"/>
  <c r="M36" i="1"/>
  <c r="J106" i="1"/>
  <c r="K107" i="1" s="1"/>
  <c r="I62" i="1"/>
  <c r="I55" i="1" l="1"/>
  <c r="I57" i="1" s="1"/>
  <c r="G63" i="1" s="1"/>
  <c r="G64" i="1" s="1"/>
  <c r="K55" i="1"/>
  <c r="J62" i="1"/>
  <c r="I68" i="1" l="1"/>
  <c r="L55" i="1"/>
  <c r="L57" i="1" s="1"/>
  <c r="K57" i="1"/>
  <c r="H63" i="1" s="1"/>
  <c r="H90" i="1"/>
  <c r="I63" i="1" l="1"/>
  <c r="I64" i="1" s="1"/>
  <c r="H64" i="1"/>
  <c r="I70" i="1" l="1"/>
  <c r="I72" i="1"/>
  <c r="J64" i="1"/>
  <c r="H67" i="1"/>
  <c r="I69" i="1"/>
  <c r="I71" i="1" s="1"/>
</calcChain>
</file>

<file path=xl/sharedStrings.xml><?xml version="1.0" encoding="utf-8"?>
<sst xmlns="http://schemas.openxmlformats.org/spreadsheetml/2006/main" count="134" uniqueCount="107">
  <si>
    <t>Помогите пожалуйста решть</t>
  </si>
  <si>
    <t>-основные материалы         14000,</t>
  </si>
  <si>
    <t>- прямая заработная плата        6500</t>
  </si>
  <si>
    <t>- накладные производственные расходы    20% от прямой заработной платы.</t>
  </si>
  <si>
    <t>-основные материалы          96000</t>
  </si>
  <si>
    <t>- прямая заработная плата    59125</t>
  </si>
  <si>
    <t>Ставка накладных производственных расходов в октябре сохраняется на прежнем уровне.</t>
  </si>
  <si>
    <t>Незавершенное производство на конец  октября составило 2500 ед.которые полностью укомплектованы по материалам и и на 50% завершены по трудозатратами накладным расходам.</t>
  </si>
  <si>
    <t xml:space="preserve"> которые полностью укомплектованы материалами, но по трудозатратам и накладным расходам завершены только на 75% . в период сентября эти единицы были оценены следующим образом:</t>
  </si>
  <si>
    <t xml:space="preserve">Задание: Подготовить отчет  о себестоимости за октябрь, используя метод  средней и  известной и метод ФИФО, указав ( а) себестоимость единицы продукции по </t>
  </si>
  <si>
    <t>целом и по элементам затрат</t>
  </si>
  <si>
    <t>Эквивалентные единицы по материалам на начало  сентября 1200*100%=</t>
  </si>
  <si>
    <t>Экаиваленьные единицы по материалам на конец октяюря 2500 * 100% =</t>
  </si>
  <si>
    <t xml:space="preserve">элементам затрат и в целом, (б) общую себестоимость готовой продукции, переданной на склад, (И) стоимость незавершенного производства на конец периода в </t>
  </si>
  <si>
    <t>В октябре в производство запущены ещё 24800 ед. и на процесс отнесены след. Затраты:</t>
  </si>
  <si>
    <t xml:space="preserve">В компании, выпускающий один продукт за один процесс, незавершенное производство на начало периода составляло 1200 ед., </t>
  </si>
  <si>
    <t>ИТОГО ЗАТРАТЫ НА ПЕРЕРАБОТКУ = 6500+1300=</t>
  </si>
  <si>
    <t>НАКЛАДНЫЕ РАСХОДЫ = 59125*20%=</t>
  </si>
  <si>
    <t>ИТОГО ЗАТРАТЫ НА ПЕРЕРАБОТКУ = 59125+11825=</t>
  </si>
  <si>
    <t>Незавершённое производство на начало периода (физические единицы)</t>
  </si>
  <si>
    <t>ед</t>
  </si>
  <si>
    <t>Материалы (100% завершено)</t>
  </si>
  <si>
    <t>долл.</t>
  </si>
  <si>
    <t>Запущено за период</t>
  </si>
  <si>
    <t>ед.</t>
  </si>
  <si>
    <t>Передано на склад за период</t>
  </si>
  <si>
    <t>В незавершённом производстве на конец периода</t>
  </si>
  <si>
    <t>долл</t>
  </si>
  <si>
    <t>АНАЛИЗ ФИЗИЧЕСКОГО ПОТОКА ПРОДУКЦИИ</t>
  </si>
  <si>
    <t>Сальдо на начало периода</t>
  </si>
  <si>
    <t>Начато перерабатываться за период</t>
  </si>
  <si>
    <t>ИТОГО В УЧЁТЕ</t>
  </si>
  <si>
    <t>Завершено и передано на склад</t>
  </si>
  <si>
    <t>В незавершённом производсьве на конец периода</t>
  </si>
  <si>
    <t>КАЛЬЕУЛЯЦИЯ ЭКВИВАЛЕНТНЫХ ЕДИНИЦ</t>
  </si>
  <si>
    <t>Физич.единицы</t>
  </si>
  <si>
    <t>Переработка</t>
  </si>
  <si>
    <t>выполнения</t>
  </si>
  <si>
    <t>Эквивалентные единицы</t>
  </si>
  <si>
    <t xml:space="preserve">Прямые </t>
  </si>
  <si>
    <t>материалы</t>
  </si>
  <si>
    <t>Начальные хапасы не учитываются в методе средневзвешенной</t>
  </si>
  <si>
    <t>Начато в периоде</t>
  </si>
  <si>
    <t>ИТОГО</t>
  </si>
  <si>
    <t>Закончено и передано на склад</t>
  </si>
  <si>
    <t>ИТОГО:</t>
  </si>
  <si>
    <t>ЗАТРАТЫ НА ЕДИНИЦУ</t>
  </si>
  <si>
    <t>Затраты за период</t>
  </si>
  <si>
    <t>ИТОГО ЗАТРАТ</t>
  </si>
  <si>
    <t>На эквивалентную единицу</t>
  </si>
  <si>
    <t>АНАЛИЗ ОБЩИХ ЗАТРАТ</t>
  </si>
  <si>
    <t>Итого затрат в незавершённом производстве</t>
  </si>
  <si>
    <t>ПРОИЗВОДСТВЕННЫЙ ОТЧЁТ-Метод ФИФО</t>
  </si>
  <si>
    <t>ПРОИЗВОДСТВЕННЫЙ ОТЧЁТ-Метод средневзвешенной</t>
  </si>
  <si>
    <t>Эквивалентные единицы по труду на начало  сентября 1200*75%=</t>
  </si>
  <si>
    <t>Эквивалентные единицы по труду на конец октяюря 2500*50%=</t>
  </si>
  <si>
    <t>Эквивалентные единицы по роизводственным накладным на конец октяюря 2500*50%=</t>
  </si>
  <si>
    <t>Труд (75% завершено)</t>
  </si>
  <si>
    <t>Эквивалентные единицы по труду на начало сентября 1200*75%=</t>
  </si>
  <si>
    <t>Эквивалентные единицы по накладным на начало сентября 1200*75%=</t>
  </si>
  <si>
    <t>Эквивалентные единицы по накладным на конец октяюря 2500*50%=</t>
  </si>
  <si>
    <t>Накладные (75% завершено)</t>
  </si>
  <si>
    <t>Труд (50% завершено)</t>
  </si>
  <si>
    <t>жолл</t>
  </si>
  <si>
    <t>Прямые материалы</t>
  </si>
  <si>
    <t>Затраты на конец периода в незавершённоом производстве - труд 1250*2,65=</t>
  </si>
  <si>
    <t>Затраты на конец периода в незавершённоом производстве - накладные 1250*0,53=</t>
  </si>
  <si>
    <t>Затраты на конец периода в незавершённоом производстве - материалы 2500*4,23=</t>
  </si>
  <si>
    <t>Проверка</t>
  </si>
  <si>
    <t>Эквивалентные единицы по производственным накладным на начало сентября 1200*75%=</t>
  </si>
  <si>
    <t>Себестоимость завершённых т переданных на склад 7,41* 23500</t>
  </si>
  <si>
    <t>Материалы</t>
  </si>
  <si>
    <t>В незавершённом периоде на начало периода</t>
  </si>
  <si>
    <t>Передано на склад готовой продукции</t>
  </si>
  <si>
    <t>Начато, но не закончено  производство</t>
  </si>
  <si>
    <t>Эквивалентные единицы по материалам на начало = 1200*100%=</t>
  </si>
  <si>
    <t>Затраты по материалам на эквивалентную единицу на начало = 14000/1200</t>
  </si>
  <si>
    <t>Итого себестоимость эквивалентной единицы на начало периода</t>
  </si>
  <si>
    <t>Эквивалентные единицы по материалам на конец периода = 2500*100%=</t>
  </si>
  <si>
    <t>Эквивалентные единицы по конверсии на конец периода = 2500*50%=</t>
  </si>
  <si>
    <t>Итого себестоимость произведённой эквивалентной единицы</t>
  </si>
  <si>
    <t>Затраты по конверсии на эквивалентную единицу на начало = (6500*120%)/900</t>
  </si>
  <si>
    <t>В незавершённом производстве на конец периода (физические единицы)</t>
  </si>
  <si>
    <t>Эквиваленьные единицы-на начало периода конверсия =1200*75%</t>
  </si>
  <si>
    <t>Себестоимость эквивалентной единицы произведённой продукции - материалы = 96000/24800</t>
  </si>
  <si>
    <t xml:space="preserve">Себестоимость единицы продукции, начатых в прошлом периоде и законченных в текущем: </t>
  </si>
  <si>
    <t>Готовая продукция 1200*23,25+23850*6,85=</t>
  </si>
  <si>
    <t>ИТОГО ЗАТРАТЫ:</t>
  </si>
  <si>
    <t>Незавершённое производство - 2500*3,87+2500*50%*2,97=</t>
  </si>
  <si>
    <t xml:space="preserve">  =(14000+6500*1,2+20,33*(1200*25%))/1200=</t>
  </si>
  <si>
    <t xml:space="preserve">Было начато в прошлом периоде и закончено в текушем </t>
  </si>
  <si>
    <t>Запущено в производство материалов</t>
  </si>
  <si>
    <t>единиц</t>
  </si>
  <si>
    <t>Накладные производственные (50% завершено)</t>
  </si>
  <si>
    <t>Процент</t>
  </si>
  <si>
    <t>Прямой</t>
  </si>
  <si>
    <t>труд</t>
  </si>
  <si>
    <t>Производственные накладные</t>
  </si>
  <si>
    <t>Незавершённое протзводство на начало периода</t>
  </si>
  <si>
    <t>Незавершённое производство на конец периодв</t>
  </si>
  <si>
    <t>Незавершённое производство на начало периода</t>
  </si>
  <si>
    <t>Прямой труд</t>
  </si>
  <si>
    <t>Себестоимость эквивалентной единицы произведённой продукции - конверсия = (59125*1,2)/23850</t>
  </si>
  <si>
    <t>Количество эквивалентных единиц по материалам, произведённым за период 23500-1200*100%+2500*100%=</t>
  </si>
  <si>
    <t>Количество эквивалентных единиц по конверсии, произведённым за период 23500-1200*75%+2500*50%=</t>
  </si>
  <si>
    <t>Проверка 14000+96000+6500*1,2+59125*1,2=</t>
  </si>
  <si>
    <t>Было начато и закончено в текущем периоде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</si>
</sst>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9" fontId="2" fillId="0" borderId="0" xfId="0" applyNumberFormat="1" applyFont="1"/>
    <xf numFmtId="43" fontId="2" fillId="0" borderId="0" xfId="1" applyFont="1"/>
    <xf numFmtId="43" fontId="2" fillId="0" borderId="0" xfId="0" applyNumberFormat="1" applyFont="1"/>
    <xf numFmtId="0" fontId="2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9"/>
  <sheetViews>
    <sheetView tabSelected="1" topLeftCell="A97" zoomScale="130" zoomScaleNormal="130" workbookViewId="0">
      <selection activeCell="J106" sqref="J106"/>
    </sheetView>
  </sheetViews>
  <sheetFormatPr defaultRowHeight="15" x14ac:dyDescent="0.25"/>
  <cols>
    <col min="7" max="7" width="19.5703125" customWidth="1"/>
    <col min="8" max="8" width="16.28515625" customWidth="1"/>
    <col min="9" max="9" width="28.42578125" customWidth="1"/>
    <col min="10" max="10" width="14" customWidth="1"/>
    <col min="11" max="11" width="13.7109375" customWidth="1"/>
    <col min="12" max="12" width="13" customWidth="1"/>
  </cols>
  <sheetData>
    <row r="1" spans="1:9" x14ac:dyDescent="0.25">
      <c r="A1" t="s">
        <v>0</v>
      </c>
    </row>
    <row r="4" spans="1:9" x14ac:dyDescent="0.25">
      <c r="A4" t="s">
        <v>15</v>
      </c>
    </row>
    <row r="5" spans="1:9" x14ac:dyDescent="0.25">
      <c r="A5" t="s">
        <v>8</v>
      </c>
    </row>
    <row r="6" spans="1:9" x14ac:dyDescent="0.25">
      <c r="A6" t="s">
        <v>1</v>
      </c>
    </row>
    <row r="7" spans="1:9" x14ac:dyDescent="0.25">
      <c r="A7" t="s">
        <v>2</v>
      </c>
    </row>
    <row r="8" spans="1:9" x14ac:dyDescent="0.25">
      <c r="A8" t="s">
        <v>3</v>
      </c>
      <c r="H8" s="1">
        <f>6500*20%</f>
        <v>1300</v>
      </c>
    </row>
    <row r="9" spans="1:9" x14ac:dyDescent="0.25">
      <c r="A9" s="1" t="s">
        <v>16</v>
      </c>
      <c r="H9" s="1">
        <f>6500+1300</f>
        <v>7800</v>
      </c>
    </row>
    <row r="10" spans="1:9" x14ac:dyDescent="0.25">
      <c r="A10" t="s">
        <v>14</v>
      </c>
    </row>
    <row r="11" spans="1:9" x14ac:dyDescent="0.25">
      <c r="A11" t="s">
        <v>4</v>
      </c>
    </row>
    <row r="12" spans="1:9" x14ac:dyDescent="0.25">
      <c r="A12" t="s">
        <v>5</v>
      </c>
    </row>
    <row r="13" spans="1:9" x14ac:dyDescent="0.25">
      <c r="A13" s="1" t="s">
        <v>17</v>
      </c>
      <c r="H13" s="1">
        <f>59125*20%</f>
        <v>11825</v>
      </c>
    </row>
    <row r="14" spans="1:9" x14ac:dyDescent="0.25">
      <c r="A14" t="s">
        <v>6</v>
      </c>
      <c r="I14" s="1"/>
    </row>
    <row r="15" spans="1:9" x14ac:dyDescent="0.25">
      <c r="A15" s="1" t="s">
        <v>18</v>
      </c>
      <c r="H15" s="1">
        <f>59125+11825</f>
        <v>70950</v>
      </c>
      <c r="I15" s="1"/>
    </row>
    <row r="16" spans="1:9" x14ac:dyDescent="0.25">
      <c r="A16" t="s">
        <v>7</v>
      </c>
    </row>
    <row r="18" spans="1:12" x14ac:dyDescent="0.25">
      <c r="A18" t="s">
        <v>9</v>
      </c>
    </row>
    <row r="19" spans="1:12" x14ac:dyDescent="0.25">
      <c r="A19" t="s">
        <v>13</v>
      </c>
    </row>
    <row r="20" spans="1:12" x14ac:dyDescent="0.25">
      <c r="A20" t="s">
        <v>10</v>
      </c>
    </row>
    <row r="22" spans="1:12" s="1" customFormat="1" x14ac:dyDescent="0.25">
      <c r="A22" s="1" t="s">
        <v>11</v>
      </c>
      <c r="H22" s="1">
        <f>1200*100%</f>
        <v>1200</v>
      </c>
    </row>
    <row r="23" spans="1:12" s="1" customFormat="1" x14ac:dyDescent="0.25">
      <c r="A23" s="1" t="s">
        <v>58</v>
      </c>
      <c r="K23" s="1">
        <f>1200*75%</f>
        <v>900</v>
      </c>
    </row>
    <row r="24" spans="1:12" s="1" customFormat="1" x14ac:dyDescent="0.25">
      <c r="A24" s="1" t="s">
        <v>59</v>
      </c>
      <c r="K24" s="1">
        <f>K23</f>
        <v>900</v>
      </c>
    </row>
    <row r="25" spans="1:12" s="1" customFormat="1" x14ac:dyDescent="0.25">
      <c r="A25" s="1" t="s">
        <v>12</v>
      </c>
      <c r="H25" s="1">
        <f>2500*100%</f>
        <v>2500</v>
      </c>
    </row>
    <row r="26" spans="1:12" s="1" customFormat="1" x14ac:dyDescent="0.25">
      <c r="A26" s="1" t="s">
        <v>55</v>
      </c>
      <c r="K26" s="1">
        <f>2500*50%</f>
        <v>1250</v>
      </c>
    </row>
    <row r="27" spans="1:12" s="1" customFormat="1" x14ac:dyDescent="0.25">
      <c r="A27" s="1" t="s">
        <v>60</v>
      </c>
      <c r="K27" s="1">
        <f>K26</f>
        <v>1250</v>
      </c>
    </row>
    <row r="28" spans="1:12" s="1" customFormat="1" x14ac:dyDescent="0.25">
      <c r="A28" s="1" t="s">
        <v>53</v>
      </c>
    </row>
    <row r="29" spans="1:12" s="1" customFormat="1" x14ac:dyDescent="0.25"/>
    <row r="30" spans="1:12" s="1" customFormat="1" x14ac:dyDescent="0.25">
      <c r="A30" s="1" t="s">
        <v>19</v>
      </c>
      <c r="K30" s="1">
        <v>1200</v>
      </c>
      <c r="L30" s="1" t="s">
        <v>20</v>
      </c>
    </row>
    <row r="31" spans="1:12" s="1" customFormat="1" x14ac:dyDescent="0.25">
      <c r="A31" s="1" t="s">
        <v>21</v>
      </c>
      <c r="K31" s="1">
        <v>14000</v>
      </c>
      <c r="L31" s="1" t="s">
        <v>22</v>
      </c>
    </row>
    <row r="32" spans="1:12" s="1" customFormat="1" x14ac:dyDescent="0.25">
      <c r="A32" s="1" t="s">
        <v>57</v>
      </c>
      <c r="K32" s="1">
        <v>6500</v>
      </c>
      <c r="L32" s="1" t="s">
        <v>22</v>
      </c>
    </row>
    <row r="33" spans="1:13" s="1" customFormat="1" x14ac:dyDescent="0.25">
      <c r="A33" s="1" t="s">
        <v>61</v>
      </c>
      <c r="K33" s="1">
        <f>K32*20%</f>
        <v>1300</v>
      </c>
      <c r="L33" s="1" t="s">
        <v>27</v>
      </c>
    </row>
    <row r="34" spans="1:13" s="1" customFormat="1" x14ac:dyDescent="0.25">
      <c r="A34" s="1" t="s">
        <v>23</v>
      </c>
      <c r="K34" s="1">
        <v>24800</v>
      </c>
      <c r="L34" s="1" t="s">
        <v>24</v>
      </c>
      <c r="M34" s="1">
        <f>K34+K30</f>
        <v>26000</v>
      </c>
    </row>
    <row r="35" spans="1:13" s="1" customFormat="1" x14ac:dyDescent="0.25">
      <c r="A35" s="1" t="s">
        <v>25</v>
      </c>
      <c r="K35" s="1">
        <f>26000-2500</f>
        <v>23500</v>
      </c>
      <c r="L35" s="1" t="s">
        <v>20</v>
      </c>
    </row>
    <row r="36" spans="1:13" s="1" customFormat="1" x14ac:dyDescent="0.25">
      <c r="A36" s="1" t="s">
        <v>82</v>
      </c>
      <c r="K36" s="1">
        <v>2500</v>
      </c>
      <c r="L36" s="1" t="s">
        <v>20</v>
      </c>
      <c r="M36" s="1">
        <f>K36+K35</f>
        <v>26000</v>
      </c>
    </row>
    <row r="37" spans="1:13" s="1" customFormat="1" x14ac:dyDescent="0.25">
      <c r="A37" s="1" t="s">
        <v>21</v>
      </c>
      <c r="K37" s="1">
        <v>96000</v>
      </c>
      <c r="L37" s="1" t="s">
        <v>27</v>
      </c>
    </row>
    <row r="38" spans="1:13" s="1" customFormat="1" x14ac:dyDescent="0.25">
      <c r="A38" s="1" t="s">
        <v>62</v>
      </c>
      <c r="K38" s="1">
        <f>59125</f>
        <v>59125</v>
      </c>
      <c r="L38" s="1" t="s">
        <v>27</v>
      </c>
    </row>
    <row r="39" spans="1:13" s="1" customFormat="1" x14ac:dyDescent="0.25">
      <c r="A39" s="1" t="s">
        <v>93</v>
      </c>
      <c r="K39" s="1">
        <f>K38*20%</f>
        <v>11825</v>
      </c>
      <c r="L39" s="1" t="s">
        <v>63</v>
      </c>
    </row>
    <row r="40" spans="1:13" s="1" customFormat="1" x14ac:dyDescent="0.25"/>
    <row r="41" spans="1:13" s="1" customFormat="1" x14ac:dyDescent="0.25">
      <c r="A41" s="1" t="s">
        <v>28</v>
      </c>
    </row>
    <row r="42" spans="1:13" s="1" customFormat="1" x14ac:dyDescent="0.25">
      <c r="A42" s="1" t="s">
        <v>29</v>
      </c>
      <c r="K42" s="1">
        <v>1200</v>
      </c>
      <c r="L42" s="1" t="s">
        <v>20</v>
      </c>
    </row>
    <row r="43" spans="1:13" s="1" customFormat="1" x14ac:dyDescent="0.25">
      <c r="A43" s="1" t="s">
        <v>30</v>
      </c>
      <c r="K43" s="1">
        <f>K34</f>
        <v>24800</v>
      </c>
      <c r="L43" s="1" t="s">
        <v>20</v>
      </c>
    </row>
    <row r="44" spans="1:13" s="1" customFormat="1" x14ac:dyDescent="0.25">
      <c r="A44" s="1" t="s">
        <v>31</v>
      </c>
      <c r="K44" s="1">
        <f>SUM(K42:K43)</f>
        <v>26000</v>
      </c>
      <c r="L44" s="1" t="s">
        <v>20</v>
      </c>
    </row>
    <row r="45" spans="1:13" s="1" customFormat="1" x14ac:dyDescent="0.25">
      <c r="A45" s="1" t="s">
        <v>32</v>
      </c>
      <c r="K45" s="1">
        <f>K35</f>
        <v>23500</v>
      </c>
      <c r="L45" s="1" t="s">
        <v>20</v>
      </c>
    </row>
    <row r="46" spans="1:13" s="1" customFormat="1" x14ac:dyDescent="0.25">
      <c r="A46" s="1" t="s">
        <v>33</v>
      </c>
      <c r="K46" s="1">
        <f>K36</f>
        <v>2500</v>
      </c>
      <c r="L46" s="1" t="s">
        <v>20</v>
      </c>
    </row>
    <row r="47" spans="1:13" s="1" customFormat="1" x14ac:dyDescent="0.25">
      <c r="A47" s="1" t="s">
        <v>31</v>
      </c>
      <c r="K47" s="1">
        <f>SUM(K45:K46)</f>
        <v>26000</v>
      </c>
      <c r="L47" s="1" t="s">
        <v>20</v>
      </c>
    </row>
    <row r="48" spans="1:13" s="1" customFormat="1" x14ac:dyDescent="0.25"/>
    <row r="49" spans="1:13" s="1" customFormat="1" x14ac:dyDescent="0.25">
      <c r="A49" s="1" t="s">
        <v>34</v>
      </c>
      <c r="H49" s="1" t="s">
        <v>36</v>
      </c>
      <c r="I49" s="5" t="s">
        <v>38</v>
      </c>
      <c r="J49" s="5"/>
      <c r="K49" s="5"/>
      <c r="L49" s="5"/>
    </row>
    <row r="50" spans="1:13" s="1" customFormat="1" x14ac:dyDescent="0.25">
      <c r="H50" s="1" t="s">
        <v>94</v>
      </c>
      <c r="I50" s="1" t="s">
        <v>39</v>
      </c>
      <c r="K50" s="1" t="s">
        <v>95</v>
      </c>
      <c r="L50" s="1" t="s">
        <v>97</v>
      </c>
    </row>
    <row r="51" spans="1:13" s="1" customFormat="1" x14ac:dyDescent="0.25">
      <c r="G51" s="1" t="s">
        <v>35</v>
      </c>
      <c r="H51" s="1" t="s">
        <v>37</v>
      </c>
      <c r="I51" s="1" t="s">
        <v>40</v>
      </c>
      <c r="K51" s="1" t="s">
        <v>96</v>
      </c>
    </row>
    <row r="52" spans="1:13" s="1" customFormat="1" x14ac:dyDescent="0.25">
      <c r="A52" s="1" t="s">
        <v>98</v>
      </c>
      <c r="G52" s="1">
        <v>1200</v>
      </c>
      <c r="H52" s="2">
        <v>0.75</v>
      </c>
      <c r="I52" s="1">
        <f>G52*100%</f>
        <v>1200</v>
      </c>
      <c r="K52" s="1">
        <f>G52*H52</f>
        <v>900</v>
      </c>
      <c r="L52" s="1">
        <f>K52</f>
        <v>900</v>
      </c>
      <c r="M52" s="1" t="s">
        <v>41</v>
      </c>
    </row>
    <row r="53" spans="1:13" s="1" customFormat="1" x14ac:dyDescent="0.25">
      <c r="A53" s="1" t="s">
        <v>42</v>
      </c>
      <c r="G53" s="1">
        <f>K43</f>
        <v>24800</v>
      </c>
    </row>
    <row r="54" spans="1:13" s="1" customFormat="1" x14ac:dyDescent="0.25">
      <c r="A54" s="1" t="s">
        <v>43</v>
      </c>
      <c r="G54" s="1">
        <f>SUM(G52:G53)</f>
        <v>26000</v>
      </c>
    </row>
    <row r="55" spans="1:13" s="1" customFormat="1" x14ac:dyDescent="0.25">
      <c r="A55" s="1" t="s">
        <v>44</v>
      </c>
      <c r="G55" s="1">
        <f>K45</f>
        <v>23500</v>
      </c>
      <c r="H55" s="2">
        <v>1</v>
      </c>
      <c r="I55" s="1">
        <f>G55*H55</f>
        <v>23500</v>
      </c>
      <c r="K55" s="1">
        <f>G55*H55</f>
        <v>23500</v>
      </c>
      <c r="L55" s="1">
        <f>K55</f>
        <v>23500</v>
      </c>
    </row>
    <row r="56" spans="1:13" s="1" customFormat="1" x14ac:dyDescent="0.25">
      <c r="A56" s="1" t="s">
        <v>99</v>
      </c>
      <c r="G56" s="1">
        <f>K46</f>
        <v>2500</v>
      </c>
      <c r="H56" s="2">
        <v>0.5</v>
      </c>
      <c r="I56" s="1">
        <f>G56</f>
        <v>2500</v>
      </c>
      <c r="K56" s="1">
        <f>G56*H56</f>
        <v>1250</v>
      </c>
      <c r="L56" s="1">
        <f>K56</f>
        <v>1250</v>
      </c>
    </row>
    <row r="57" spans="1:13" s="1" customFormat="1" x14ac:dyDescent="0.25">
      <c r="A57" s="1" t="s">
        <v>45</v>
      </c>
      <c r="G57" s="1">
        <f>SUM(G55:G56)</f>
        <v>26000</v>
      </c>
      <c r="I57" s="1">
        <f>SUM(I55:I56)</f>
        <v>26000</v>
      </c>
      <c r="K57" s="1">
        <f>SUM(K55:K56)</f>
        <v>24750</v>
      </c>
      <c r="L57" s="1">
        <f>SUM(L55:L56)</f>
        <v>24750</v>
      </c>
    </row>
    <row r="58" spans="1:13" s="1" customFormat="1" x14ac:dyDescent="0.25"/>
    <row r="59" spans="1:13" s="1" customFormat="1" x14ac:dyDescent="0.25">
      <c r="A59" s="1" t="s">
        <v>46</v>
      </c>
      <c r="G59" s="1" t="s">
        <v>64</v>
      </c>
      <c r="H59" s="1" t="s">
        <v>101</v>
      </c>
      <c r="I59" s="1" t="s">
        <v>97</v>
      </c>
      <c r="J59" s="1" t="s">
        <v>43</v>
      </c>
    </row>
    <row r="60" spans="1:13" s="1" customFormat="1" x14ac:dyDescent="0.25">
      <c r="A60" s="1" t="s">
        <v>100</v>
      </c>
      <c r="G60" s="1">
        <v>14000</v>
      </c>
      <c r="H60" s="1">
        <v>6500</v>
      </c>
      <c r="I60" s="1">
        <f>H60*20%</f>
        <v>1300</v>
      </c>
      <c r="J60" s="1">
        <f>SUM(G60:I60)</f>
        <v>21800</v>
      </c>
    </row>
    <row r="61" spans="1:13" s="1" customFormat="1" x14ac:dyDescent="0.25">
      <c r="A61" s="1" t="s">
        <v>47</v>
      </c>
      <c r="G61" s="1">
        <f>96000</f>
        <v>96000</v>
      </c>
      <c r="H61" s="1">
        <v>59125</v>
      </c>
      <c r="I61" s="1">
        <f>H61*20%</f>
        <v>11825</v>
      </c>
      <c r="J61" s="1">
        <f t="shared" ref="J61:J62" si="0">SUM(G61:I61)</f>
        <v>166950</v>
      </c>
    </row>
    <row r="62" spans="1:13" s="1" customFormat="1" x14ac:dyDescent="0.25">
      <c r="A62" s="1" t="s">
        <v>48</v>
      </c>
      <c r="G62" s="1">
        <f>SUM(G60:G61)</f>
        <v>110000</v>
      </c>
      <c r="H62" s="1">
        <f t="shared" ref="H62:I62" si="1">SUM(H60:H61)</f>
        <v>65625</v>
      </c>
      <c r="I62" s="1">
        <f t="shared" si="1"/>
        <v>13125</v>
      </c>
      <c r="J62" s="1">
        <f t="shared" si="0"/>
        <v>188750</v>
      </c>
    </row>
    <row r="63" spans="1:13" s="1" customFormat="1" x14ac:dyDescent="0.25">
      <c r="A63" s="1" t="s">
        <v>38</v>
      </c>
      <c r="G63" s="1">
        <f>I57</f>
        <v>26000</v>
      </c>
      <c r="H63" s="1">
        <f>K57</f>
        <v>24750</v>
      </c>
      <c r="I63" s="1">
        <f>H63</f>
        <v>24750</v>
      </c>
    </row>
    <row r="64" spans="1:13" s="1" customFormat="1" x14ac:dyDescent="0.25">
      <c r="A64" s="1" t="s">
        <v>49</v>
      </c>
      <c r="G64" s="3">
        <f>G62/G63</f>
        <v>4.2307692307692308</v>
      </c>
      <c r="H64" s="3">
        <f>H62/H63</f>
        <v>2.6515151515151514</v>
      </c>
      <c r="I64" s="3">
        <f>I62/I63</f>
        <v>0.53030303030303028</v>
      </c>
      <c r="J64" s="4">
        <f>SUM(G64:I64)</f>
        <v>7.4125874125874125</v>
      </c>
    </row>
    <row r="65" spans="1:11" s="1" customFormat="1" x14ac:dyDescent="0.25"/>
    <row r="66" spans="1:11" s="1" customFormat="1" x14ac:dyDescent="0.25">
      <c r="A66" s="1" t="s">
        <v>50</v>
      </c>
    </row>
    <row r="67" spans="1:11" s="1" customFormat="1" x14ac:dyDescent="0.25">
      <c r="A67" s="1" t="s">
        <v>70</v>
      </c>
      <c r="H67" s="4">
        <f>I64*G55</f>
        <v>12462.121212121212</v>
      </c>
    </row>
    <row r="68" spans="1:11" s="1" customFormat="1" x14ac:dyDescent="0.25">
      <c r="A68" s="1" t="s">
        <v>67</v>
      </c>
      <c r="I68" s="4">
        <f>G64*I56</f>
        <v>10576.923076923076</v>
      </c>
    </row>
    <row r="69" spans="1:11" s="1" customFormat="1" x14ac:dyDescent="0.25">
      <c r="A69" s="1" t="s">
        <v>66</v>
      </c>
      <c r="I69" s="4">
        <f>I64*L56</f>
        <v>662.87878787878788</v>
      </c>
    </row>
    <row r="70" spans="1:11" s="1" customFormat="1" x14ac:dyDescent="0.25">
      <c r="A70" s="1" t="s">
        <v>65</v>
      </c>
      <c r="I70" s="4">
        <f>H64*K56</f>
        <v>3314.393939393939</v>
      </c>
    </row>
    <row r="71" spans="1:11" s="1" customFormat="1" x14ac:dyDescent="0.25">
      <c r="A71" s="1" t="s">
        <v>51</v>
      </c>
      <c r="I71" s="4">
        <f>SUM(I68:I70)</f>
        <v>14554.195804195802</v>
      </c>
    </row>
    <row r="72" spans="1:11" s="1" customFormat="1" x14ac:dyDescent="0.25">
      <c r="A72" s="1" t="s">
        <v>68</v>
      </c>
      <c r="I72" s="4">
        <f>G64*I56+H64*K56+L56*I64</f>
        <v>14554.195804195802</v>
      </c>
    </row>
    <row r="74" spans="1:11" s="1" customFormat="1" x14ac:dyDescent="0.25">
      <c r="A74" s="1" t="s">
        <v>11</v>
      </c>
      <c r="I74" s="1">
        <f>1200*100%</f>
        <v>1200</v>
      </c>
    </row>
    <row r="75" spans="1:11" s="1" customFormat="1" x14ac:dyDescent="0.25">
      <c r="A75" s="1" t="s">
        <v>54</v>
      </c>
      <c r="I75" s="1">
        <f>1200*75%</f>
        <v>900</v>
      </c>
    </row>
    <row r="76" spans="1:11" s="1" customFormat="1" x14ac:dyDescent="0.25">
      <c r="A76" s="1" t="s">
        <v>69</v>
      </c>
      <c r="I76" s="1">
        <f>1200*75%</f>
        <v>900</v>
      </c>
      <c r="K76" s="1">
        <f>1200*75%</f>
        <v>900</v>
      </c>
    </row>
    <row r="77" spans="1:11" s="1" customFormat="1" x14ac:dyDescent="0.25">
      <c r="A77" s="1" t="s">
        <v>12</v>
      </c>
      <c r="I77" s="1">
        <f>2500*100%</f>
        <v>2500</v>
      </c>
    </row>
    <row r="78" spans="1:11" s="1" customFormat="1" x14ac:dyDescent="0.25">
      <c r="A78" s="1" t="s">
        <v>55</v>
      </c>
      <c r="I78" s="1">
        <f>2500*50%</f>
        <v>1250</v>
      </c>
    </row>
    <row r="79" spans="1:11" s="1" customFormat="1" x14ac:dyDescent="0.25">
      <c r="A79" s="1" t="s">
        <v>56</v>
      </c>
      <c r="I79" s="1">
        <f>2500*50%</f>
        <v>1250</v>
      </c>
      <c r="K79" s="1">
        <f>2500*50%</f>
        <v>1250</v>
      </c>
    </row>
    <row r="80" spans="1:11" s="1" customFormat="1" x14ac:dyDescent="0.25"/>
    <row r="81" spans="1:9" s="1" customFormat="1" x14ac:dyDescent="0.25">
      <c r="A81" s="1" t="s">
        <v>52</v>
      </c>
    </row>
    <row r="82" spans="1:9" s="1" customFormat="1" x14ac:dyDescent="0.25"/>
    <row r="83" spans="1:9" s="1" customFormat="1" x14ac:dyDescent="0.25">
      <c r="A83" s="1" t="s">
        <v>71</v>
      </c>
    </row>
    <row r="84" spans="1:9" s="1" customFormat="1" x14ac:dyDescent="0.25">
      <c r="A84" s="1" t="s">
        <v>72</v>
      </c>
      <c r="H84" s="1">
        <v>1200</v>
      </c>
      <c r="I84" s="1" t="s">
        <v>92</v>
      </c>
    </row>
    <row r="85" spans="1:9" s="1" customFormat="1" x14ac:dyDescent="0.25">
      <c r="A85" s="1" t="s">
        <v>91</v>
      </c>
      <c r="H85" s="1">
        <f>24800</f>
        <v>24800</v>
      </c>
      <c r="I85" s="1" t="s">
        <v>92</v>
      </c>
    </row>
    <row r="86" spans="1:9" s="1" customFormat="1" x14ac:dyDescent="0.25">
      <c r="A86" s="1" t="s">
        <v>73</v>
      </c>
      <c r="H86" s="1">
        <f>G55</f>
        <v>23500</v>
      </c>
      <c r="I86" s="1" t="s">
        <v>92</v>
      </c>
    </row>
    <row r="87" spans="1:9" s="1" customFormat="1" x14ac:dyDescent="0.25">
      <c r="A87" s="1" t="s">
        <v>26</v>
      </c>
      <c r="H87" s="1">
        <f>H84+H85-H86</f>
        <v>2500</v>
      </c>
      <c r="I87" s="1" t="s">
        <v>92</v>
      </c>
    </row>
    <row r="88" spans="1:9" s="1" customFormat="1" x14ac:dyDescent="0.25">
      <c r="A88" s="1" t="s">
        <v>90</v>
      </c>
      <c r="H88" s="1">
        <v>1200</v>
      </c>
      <c r="I88" s="1" t="s">
        <v>92</v>
      </c>
    </row>
    <row r="89" spans="1:9" s="1" customFormat="1" x14ac:dyDescent="0.25">
      <c r="A89" s="1" t="s">
        <v>106</v>
      </c>
      <c r="H89" s="1">
        <f>H86+H88</f>
        <v>24700</v>
      </c>
      <c r="I89" s="1" t="s">
        <v>92</v>
      </c>
    </row>
    <row r="90" spans="1:9" s="1" customFormat="1" x14ac:dyDescent="0.25">
      <c r="A90" s="1" t="s">
        <v>74</v>
      </c>
      <c r="H90" s="1">
        <f>H85-H89</f>
        <v>100</v>
      </c>
      <c r="I90" s="1" t="s">
        <v>92</v>
      </c>
    </row>
    <row r="91" spans="1:9" s="1" customFormat="1" x14ac:dyDescent="0.25">
      <c r="A91" s="1" t="s">
        <v>75</v>
      </c>
      <c r="H91" s="1">
        <f>1200*100%</f>
        <v>1200</v>
      </c>
      <c r="I91" s="1" t="s">
        <v>92</v>
      </c>
    </row>
    <row r="92" spans="1:9" s="1" customFormat="1" x14ac:dyDescent="0.25">
      <c r="A92" s="1" t="s">
        <v>83</v>
      </c>
      <c r="H92" s="1">
        <f>1200*75%</f>
        <v>900</v>
      </c>
      <c r="I92" s="1" t="s">
        <v>92</v>
      </c>
    </row>
    <row r="93" spans="1:9" s="1" customFormat="1" x14ac:dyDescent="0.25">
      <c r="A93" s="1" t="s">
        <v>76</v>
      </c>
      <c r="H93" s="3">
        <f xml:space="preserve"> 14000/1200</f>
        <v>11.666666666666666</v>
      </c>
    </row>
    <row r="94" spans="1:9" s="1" customFormat="1" x14ac:dyDescent="0.25">
      <c r="A94" s="1" t="s">
        <v>81</v>
      </c>
      <c r="H94" s="3">
        <f xml:space="preserve"> (6500*120%)/900</f>
        <v>8.6666666666666661</v>
      </c>
    </row>
    <row r="95" spans="1:9" s="1" customFormat="1" x14ac:dyDescent="0.25">
      <c r="A95" s="1" t="s">
        <v>77</v>
      </c>
      <c r="H95" s="4">
        <f>SUM(H93:H94)</f>
        <v>20.333333333333332</v>
      </c>
    </row>
    <row r="96" spans="1:9" s="1" customFormat="1" x14ac:dyDescent="0.25">
      <c r="A96" s="1" t="s">
        <v>78</v>
      </c>
      <c r="H96" s="1">
        <f>2500*100%</f>
        <v>2500</v>
      </c>
    </row>
    <row r="97" spans="1:14" s="1" customFormat="1" x14ac:dyDescent="0.25">
      <c r="A97" s="1" t="s">
        <v>79</v>
      </c>
      <c r="H97" s="1">
        <f>2500*50%</f>
        <v>1250</v>
      </c>
    </row>
    <row r="98" spans="1:14" s="1" customFormat="1" x14ac:dyDescent="0.25">
      <c r="A98" s="1" t="s">
        <v>103</v>
      </c>
      <c r="J98" s="1">
        <f>23500-1200*100%+2500*100%</f>
        <v>24800</v>
      </c>
    </row>
    <row r="99" spans="1:14" s="1" customFormat="1" x14ac:dyDescent="0.25">
      <c r="A99" s="1" t="s">
        <v>104</v>
      </c>
      <c r="J99" s="1">
        <f>23500-1200*75%+2500*50%</f>
        <v>23850</v>
      </c>
    </row>
    <row r="100" spans="1:14" s="1" customFormat="1" x14ac:dyDescent="0.25">
      <c r="A100" s="1" t="s">
        <v>84</v>
      </c>
      <c r="J100" s="3">
        <f xml:space="preserve"> 96000/24800</f>
        <v>3.870967741935484</v>
      </c>
    </row>
    <row r="101" spans="1:14" s="1" customFormat="1" x14ac:dyDescent="0.25">
      <c r="A101" s="1" t="s">
        <v>102</v>
      </c>
      <c r="J101" s="3">
        <f xml:space="preserve"> (59125*1.2)/23850</f>
        <v>2.9748427672955975</v>
      </c>
      <c r="K101" s="4">
        <f>J108-J100</f>
        <v>3.73991935483871</v>
      </c>
      <c r="L101" s="4">
        <f>K101*23850</f>
        <v>89197.076612903227</v>
      </c>
    </row>
    <row r="102" spans="1:14" s="1" customFormat="1" x14ac:dyDescent="0.25">
      <c r="A102" s="1" t="s">
        <v>80</v>
      </c>
      <c r="J102" s="4">
        <f>SUM(J100:J101)</f>
        <v>6.8458105092310815</v>
      </c>
    </row>
    <row r="103" spans="1:14" s="1" customFormat="1" x14ac:dyDescent="0.25">
      <c r="A103" s="1" t="s">
        <v>85</v>
      </c>
      <c r="J103" s="1" t="s">
        <v>89</v>
      </c>
      <c r="N103" s="3">
        <f>(14000+6500*1.2+20.33*(1200*25%))/1200</f>
        <v>23.249166666666667</v>
      </c>
    </row>
    <row r="104" spans="1:14" s="1" customFormat="1" x14ac:dyDescent="0.25">
      <c r="A104" s="1" t="s">
        <v>86</v>
      </c>
      <c r="J104" s="1">
        <f>1200*23.25+23850*6.85</f>
        <v>191272.5</v>
      </c>
    </row>
    <row r="105" spans="1:14" s="1" customFormat="1" x14ac:dyDescent="0.25">
      <c r="A105" s="1" t="s">
        <v>88</v>
      </c>
      <c r="J105" s="4">
        <f>2500*3.87+1200*H95</f>
        <v>34075</v>
      </c>
    </row>
    <row r="106" spans="1:14" s="1" customFormat="1" x14ac:dyDescent="0.25">
      <c r="A106" s="1" t="s">
        <v>87</v>
      </c>
      <c r="J106" s="1">
        <f>SUM(J104:J105)</f>
        <v>225347.5</v>
      </c>
    </row>
    <row r="107" spans="1:14" s="1" customFormat="1" x14ac:dyDescent="0.25">
      <c r="A107" s="1" t="s">
        <v>105</v>
      </c>
      <c r="F107" s="1">
        <f>14000+96000+6500*1.2+59125*1.2</f>
        <v>188750</v>
      </c>
      <c r="J107" s="1">
        <f>14000+96000+6500*1.2+59125*1.2</f>
        <v>188750</v>
      </c>
      <c r="K107" s="1">
        <f>J106-J107</f>
        <v>36597.5</v>
      </c>
    </row>
    <row r="108" spans="1:14" s="1" customFormat="1" x14ac:dyDescent="0.25">
      <c r="J108" s="3">
        <f>J107/24800</f>
        <v>7.6108870967741939</v>
      </c>
    </row>
    <row r="109" spans="1:14" s="1" customFormat="1" x14ac:dyDescent="0.25"/>
    <row r="110" spans="1:14" s="1" customFormat="1" x14ac:dyDescent="0.25"/>
    <row r="111" spans="1:14" s="1" customFormat="1" x14ac:dyDescent="0.25"/>
    <row r="112" spans="1:14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pans="8:12" s="1" customFormat="1" x14ac:dyDescent="0.25"/>
    <row r="146" spans="8:12" s="1" customFormat="1" x14ac:dyDescent="0.25"/>
    <row r="147" spans="8:12" s="1" customFormat="1" x14ac:dyDescent="0.25"/>
    <row r="148" spans="8:12" s="1" customFormat="1" x14ac:dyDescent="0.25"/>
    <row r="149" spans="8:12" s="1" customFormat="1" x14ac:dyDescent="0.25">
      <c r="H149" s="2"/>
    </row>
    <row r="150" spans="8:12" s="1" customFormat="1" x14ac:dyDescent="0.25"/>
    <row r="151" spans="8:12" s="1" customFormat="1" x14ac:dyDescent="0.25"/>
    <row r="152" spans="8:12" s="1" customFormat="1" x14ac:dyDescent="0.25">
      <c r="H152" s="2"/>
      <c r="L152" s="4"/>
    </row>
    <row r="153" spans="8:12" s="1" customFormat="1" x14ac:dyDescent="0.25">
      <c r="H153" s="2"/>
    </row>
    <row r="154" spans="8:12" s="1" customFormat="1" x14ac:dyDescent="0.25"/>
    <row r="155" spans="8:12" s="1" customFormat="1" x14ac:dyDescent="0.25"/>
    <row r="156" spans="8:12" s="1" customFormat="1" x14ac:dyDescent="0.25"/>
    <row r="157" spans="8:12" s="1" customFormat="1" x14ac:dyDescent="0.25"/>
    <row r="158" spans="8:12" s="1" customFormat="1" x14ac:dyDescent="0.25"/>
    <row r="159" spans="8:12" s="1" customFormat="1" x14ac:dyDescent="0.25"/>
    <row r="160" spans="8:12" s="1" customFormat="1" x14ac:dyDescent="0.25"/>
    <row r="161" spans="7:10" s="1" customFormat="1" x14ac:dyDescent="0.25">
      <c r="G161" s="3"/>
      <c r="H161" s="3"/>
      <c r="I161" s="3"/>
      <c r="J161" s="4"/>
    </row>
    <row r="162" spans="7:10" s="1" customFormat="1" x14ac:dyDescent="0.25"/>
    <row r="163" spans="7:10" s="1" customFormat="1" x14ac:dyDescent="0.25"/>
    <row r="164" spans="7:10" s="1" customFormat="1" x14ac:dyDescent="0.25">
      <c r="H164" s="4"/>
    </row>
    <row r="165" spans="7:10" s="1" customFormat="1" x14ac:dyDescent="0.25">
      <c r="I165" s="4"/>
    </row>
    <row r="166" spans="7:10" s="1" customFormat="1" x14ac:dyDescent="0.25">
      <c r="I166" s="4"/>
    </row>
    <row r="167" spans="7:10" s="1" customFormat="1" x14ac:dyDescent="0.25">
      <c r="I167" s="4"/>
    </row>
    <row r="168" spans="7:10" s="1" customFormat="1" x14ac:dyDescent="0.25">
      <c r="I168" s="4"/>
      <c r="J168" s="4"/>
    </row>
    <row r="169" spans="7:10" s="1" customFormat="1" x14ac:dyDescent="0.25">
      <c r="I169" s="4"/>
      <c r="J169" s="4"/>
    </row>
  </sheetData>
  <mergeCells count="1">
    <mergeCell ref="I49:L4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Аверчев И.В./Igor V. Averchev</dc:creator>
  <cp:lastModifiedBy>Аверчев И.В./Igor V. Averchev</cp:lastModifiedBy>
  <dcterms:created xsi:type="dcterms:W3CDTF">2015-02-11T19:52:40Z</dcterms:created>
  <dcterms:modified xsi:type="dcterms:W3CDTF">2015-02-12T16:02:40Z</dcterms:modified>
</cp:coreProperties>
</file>